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Assumptions" sheetId="2" state="visible" r:id="rId4"/>
    <sheet name="Revenue" sheetId="3" state="visible" r:id="rId5"/>
    <sheet name="Operating Expenses" sheetId="4" state="visible" r:id="rId6"/>
    <sheet name="Capital Plan" sheetId="5" state="visible" r:id="rId7"/>
    <sheet name="Financial Summary" sheetId="6" state="visible" r:id="rId8"/>
    <sheet name="Sensitivity"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<sst xmlns="http://schemas.openxmlformats.org/spreadsheetml/2006/main" count="135" uniqueCount="108">
  <si>
    <t xml:space="preserve">Clear Creek Ditch and Reservoir Company: Five-Year Operating and Capital Model</t>
  </si>
  <si>
    <t xml:space="preserve">Purpose</t>
  </si>
  <si>
    <t xml:space="preserve">Illustrative five-year operating budget, capital plan, and rate-setting model for a fictional Colorado mutual ditch and reservoir company. Built as a portfolio work sample by Anthony Cline. All figures are fictional and for demonstration only.</t>
  </si>
  <si>
    <t xml:space="preserve">Structure (7 tabs)</t>
  </si>
  <si>
    <t xml:space="preserve">1. README: this page.</t>
  </si>
  <si>
    <t xml:space="preserve">2. Assumptions: all inputs and the scenario toggle. Blue cells are inputs; the yellow cell selects the scenario.</t>
  </si>
  <si>
    <t xml:space="preserve">3. Revenue: assessment income, water rentals, fees, and other income by year.</t>
  </si>
  <si>
    <t xml:space="preserve">4. Operating Expenses: payroll, maintenance, dam safety, legal and water court, insurance, and administration.</t>
  </si>
  <si>
    <t xml:space="preserve">5. Capital Plan: five-year capital projects schedule and capital reserve contributions.</t>
  </si>
  <si>
    <t xml:space="preserve">6. Financial Summary: full five-year statement, reserve rollforward, and chart.</t>
  </si>
  <si>
    <t xml:space="preserve">7. Sensitivity: Year 5 ending total reserves across assessment increases and cost inflation.</t>
  </si>
  <si>
    <t xml:space="preserve">Conventions</t>
  </si>
  <si>
    <t xml:space="preserve">Blue text = hardcoded input. Black = formula. Green = cross-sheet link. Yellow fill = scenario toggle / key user cell. Currency in whole dollars; zeros display as dashes; negatives in parentheses.</t>
  </si>
  <si>
    <t xml:space="preserve">How to use</t>
  </si>
  <si>
    <t xml:space="preserve">Set the scenario toggle on the Assumptions tab (1 = Conservative, 2 = Base, 3 = Growth). Every downstream number recalculates. Adjust any blue input to test alternatives; the Sensitivity tab isolates the two levers boards argue about most: the assessment increase and cost inflation.</t>
  </si>
  <si>
    <t xml:space="preserve">Grounding</t>
  </si>
  <si>
    <t xml:space="preserve">Modeled on the operating reality of a mutual ditch and reservoir company: share-based assessments, ditch rider payroll, dam safety obligations under the Colorado State Engineer, water court costs, and reserve policies sized to infrastructure risk. Reflects direct experience serving as General Manager of such an entity.</t>
  </si>
  <si>
    <t xml:space="preserve">Assumptions and Scenario Control</t>
  </si>
  <si>
    <t xml:space="preserve">Scenario toggle (1 = Conservative, 2 = Base, 3 = Growth)</t>
  </si>
  <si>
    <t xml:space="preserve">Legend</t>
  </si>
  <si>
    <t xml:space="preserve">Active scenario name</t>
  </si>
  <si>
    <t xml:space="preserve">Blue = input you can change. Yellow = scenario toggle.</t>
  </si>
  <si>
    <t xml:space="preserve">All dollar figures are fictional demonstration values.</t>
  </si>
  <si>
    <t xml:space="preserve">Scenario-driven inputs</t>
  </si>
  <si>
    <t xml:space="preserve">Input</t>
  </si>
  <si>
    <t xml:space="preserve">Conservative</t>
  </si>
  <si>
    <t xml:space="preserve">Base</t>
  </si>
  <si>
    <t xml:space="preserve">Growth</t>
  </si>
  <si>
    <t xml:space="preserve">Annual assessment increase</t>
  </si>
  <si>
    <t xml:space="preserve">Water rental volume growth</t>
  </si>
  <si>
    <t xml:space="preserve">O&amp;M cost inflation</t>
  </si>
  <si>
    <t xml:space="preserve">Wage growth</t>
  </si>
  <si>
    <t xml:space="preserve">Stock transfer activity (transfers/yr)</t>
  </si>
  <si>
    <t xml:space="preserve">Active values (drive the model)</t>
  </si>
  <si>
    <t xml:space="preserve">Assessment increase (active)</t>
  </si>
  <si>
    <t xml:space="preserve">Rental volume growth (active)</t>
  </si>
  <si>
    <t xml:space="preserve">O&amp;M inflation (active)</t>
  </si>
  <si>
    <t xml:space="preserve">Wage growth (active)</t>
  </si>
  <si>
    <t xml:space="preserve">Stock transfers per year (active)</t>
  </si>
  <si>
    <t xml:space="preserve">Structural inputs (all scenarios)</t>
  </si>
  <si>
    <t xml:space="preserve">Shares outstanding</t>
  </si>
  <si>
    <t xml:space="preserve">Base assessment per share (FY2027)</t>
  </si>
  <si>
    <t xml:space="preserve">Water rental volume, FY2027 (acre-feet)</t>
  </si>
  <si>
    <t xml:space="preserve">Rental rate per acre-foot (FY2027)</t>
  </si>
  <si>
    <t xml:space="preserve">Rental rate annual escalation</t>
  </si>
  <si>
    <t xml:space="preserve">Stock transfer fee</t>
  </si>
  <si>
    <t xml:space="preserve">Augmentation / carriage income, FY2027</t>
  </si>
  <si>
    <t xml:space="preserve">Augmentation income growth</t>
  </si>
  <si>
    <t xml:space="preserve">Interest yield on reserves</t>
  </si>
  <si>
    <t xml:space="preserve">Operating reserve target (% of operating expenses)</t>
  </si>
  <si>
    <t xml:space="preserve">FY2027 operating expense base</t>
  </si>
  <si>
    <t xml:space="preserve">Payroll and benefits (GM + ditch riders)</t>
  </si>
  <si>
    <t xml:space="preserve">Ditch and headgate maintenance</t>
  </si>
  <si>
    <t xml:space="preserve">Dam safety and reservoir maintenance</t>
  </si>
  <si>
    <t xml:space="preserve">Engineering and consulting</t>
  </si>
  <si>
    <t xml:space="preserve">Legal and water court</t>
  </si>
  <si>
    <t xml:space="preserve">Insurance</t>
  </si>
  <si>
    <t xml:space="preserve">Office, admin, and technology</t>
  </si>
  <si>
    <t xml:space="preserve">Utilities and equipment</t>
  </si>
  <si>
    <t xml:space="preserve">Opening reserve balances (start of FY2027)</t>
  </si>
  <si>
    <t xml:space="preserve">Operating reserve</t>
  </si>
  <si>
    <t xml:space="preserve">Capital reserve</t>
  </si>
  <si>
    <t xml:space="preserve">Revenue</t>
  </si>
  <si>
    <t xml:space="preserve">Fiscal Year</t>
  </si>
  <si>
    <t xml:space="preserve">2027</t>
  </si>
  <si>
    <t xml:space="preserve">2028</t>
  </si>
  <si>
    <t xml:space="preserve">2029</t>
  </si>
  <si>
    <t xml:space="preserve">2030</t>
  </si>
  <si>
    <t xml:space="preserve">2031</t>
  </si>
  <si>
    <t xml:space="preserve">Assessment per share</t>
  </si>
  <si>
    <t xml:space="preserve">Assessment revenue</t>
  </si>
  <si>
    <t xml:space="preserve">Water rental volume (AF)</t>
  </si>
  <si>
    <t xml:space="preserve">Rental rate per AF</t>
  </si>
  <si>
    <t xml:space="preserve">Water rental income</t>
  </si>
  <si>
    <t xml:space="preserve">Stock transfer fees</t>
  </si>
  <si>
    <t xml:space="preserve">Augmentation and carriage income</t>
  </si>
  <si>
    <t xml:space="preserve">Interest income (on prior-year total reserves)</t>
  </si>
  <si>
    <t xml:space="preserve">Total revenue</t>
  </si>
  <si>
    <t xml:space="preserve">Operating Expenses</t>
  </si>
  <si>
    <t xml:space="preserve">Payroll and benefits</t>
  </si>
  <si>
    <t xml:space="preserve">Total operating expenses</t>
  </si>
  <si>
    <t xml:space="preserve">Capital Plan</t>
  </si>
  <si>
    <t xml:space="preserve">Reservoir outlet works rehabilitation</t>
  </si>
  <si>
    <t xml:space="preserve">Flume and measurement structure replacement</t>
  </si>
  <si>
    <t xml:space="preserve">Headgate automation (phased)</t>
  </si>
  <si>
    <t xml:space="preserve">Ditch lining / piping segment</t>
  </si>
  <si>
    <t xml:space="preserve">SCADA and telemetry upgrade</t>
  </si>
  <si>
    <t xml:space="preserve">Vehicle and equipment replacement</t>
  </si>
  <si>
    <t xml:space="preserve">Total capital spend</t>
  </si>
  <si>
    <t xml:space="preserve">Annual capital reserve contribution</t>
  </si>
  <si>
    <t xml:space="preserve">Contribution note: flat annual funding from assessments; test adequacy on Financial Summary.</t>
  </si>
  <si>
    <t xml:space="preserve">Financial Summary</t>
  </si>
  <si>
    <t xml:space="preserve">Net operating income</t>
  </si>
  <si>
    <t xml:space="preserve">Capital reserve contribution</t>
  </si>
  <si>
    <t xml:space="preserve">Capital spend</t>
  </si>
  <si>
    <t xml:space="preserve">Operating reserve: beginning</t>
  </si>
  <si>
    <t xml:space="preserve">Operating reserve: ending</t>
  </si>
  <si>
    <t xml:space="preserve">Capital reserve: beginning</t>
  </si>
  <si>
    <t xml:space="preserve">Capital reserve: ending</t>
  </si>
  <si>
    <t xml:space="preserve">Total reserves: ending</t>
  </si>
  <si>
    <t xml:space="preserve">Operating reserve target (50% of opex)</t>
  </si>
  <si>
    <t xml:space="preserve">Operating reserve vs target: surplus / (gap)</t>
  </si>
  <si>
    <t xml:space="preserve">Sensitivity: Year 5 Ending Total Reserves</t>
  </si>
  <si>
    <t xml:space="preserve">Assessment increase (rows) vs O&amp;M cost inflation (columns). Formula-driven recomputation of the five-year model; other inputs held at active scenario values.</t>
  </si>
  <si>
    <t xml:space="preserve">Assessment increase \ O&amp;M inflation</t>
  </si>
  <si>
    <t xml:space="preserve">Reading the grid</t>
  </si>
  <si>
    <t xml:space="preserve">Cells approximate Year 5 ending total reserves. Interest is simplified to yield on opening reserves; the Financial Summary tab carries the exact figure for the active scenario.</t>
  </si>
  <si>
    <t xml:space="preserve">Exact model value (active scenario):</t>
  </si>
</sst>
</file>

<file path=xl/styles.xml><?xml version="1.0" encoding="utf-8"?>
<styleSheet xmlns="http://schemas.openxmlformats.org/spreadsheetml/2006/main">
  <numFmts count="4">
    <numFmt numFmtId="164" formatCode="General"/>
    <numFmt numFmtId="165" formatCode="0.0%"/>
    <numFmt numFmtId="166" formatCode="#,##0;\(#,##0\);\-"/>
    <numFmt numFmtId="167" formatCode="\$#,##0;&quot;($&quot;#,##0\);\-"/>
  </numFmts>
  <fonts count="14">
    <font>
      <sz val="11"/>
      <color theme="1"/>
      <name val="Calibri"/>
      <family val="2"/>
      <charset val="1"/>
    </font>
    <font>
      <sz val="10"/>
      <name val="Arial"/>
      <family val="0"/>
    </font>
    <font>
      <sz val="10"/>
      <name val="Arial"/>
      <family val="0"/>
    </font>
    <font>
      <sz val="10"/>
      <name val="Arial"/>
      <family val="0"/>
    </font>
    <font>
      <b val="true"/>
      <sz val="13"/>
      <color rgb="FF1F3864"/>
      <name val="Arial"/>
      <family val="0"/>
      <charset val="1"/>
    </font>
    <font>
      <b val="true"/>
      <sz val="10"/>
      <color rgb="FF1F3864"/>
      <name val="Arial"/>
      <family val="0"/>
      <charset val="1"/>
    </font>
    <font>
      <sz val="10"/>
      <color rgb="FF000000"/>
      <name val="Arial"/>
      <family val="0"/>
      <charset val="1"/>
    </font>
    <font>
      <b val="true"/>
      <sz val="10"/>
      <name val="Arial"/>
      <family val="0"/>
      <charset val="1"/>
    </font>
    <font>
      <sz val="10"/>
      <color rgb="FF0000FF"/>
      <name val="Arial"/>
      <family val="0"/>
      <charset val="1"/>
    </font>
    <font>
      <i val="true"/>
      <sz val="9"/>
      <color rgb="FF555555"/>
      <name val="Arial"/>
      <family val="0"/>
      <charset val="1"/>
    </font>
    <font>
      <b val="true"/>
      <sz val="10"/>
      <color rgb="FFFFFFFF"/>
      <name val="Arial"/>
      <family val="0"/>
      <charset val="1"/>
    </font>
    <font>
      <sz val="10"/>
      <color rgb="FF008000"/>
      <name val="Arial"/>
      <family val="0"/>
      <charset val="1"/>
    </font>
    <font>
      <b val="true"/>
      <sz val="18"/>
      <color rgb="FF000000"/>
      <name val="Calibri"/>
      <family val="2"/>
    </font>
    <font>
      <sz val="10"/>
      <color rgb="FF000000"/>
      <name val="Calibri"/>
      <family val="2"/>
    </font>
  </fonts>
  <fills count="4">
    <fill>
      <patternFill patternType="none"/>
    </fill>
    <fill>
      <patternFill patternType="gray125"/>
    </fill>
    <fill>
      <patternFill patternType="solid">
        <fgColor rgb="FFFFFF00"/>
        <bgColor rgb="FFFFFF00"/>
      </patternFill>
    </fill>
    <fill>
      <patternFill patternType="solid">
        <fgColor rgb="FF1F3864"/>
        <bgColor rgb="FF333399"/>
      </patternFill>
    </fill>
  </fills>
  <borders count="2">
    <border diagonalUp="false" diagonalDown="false">
      <left/>
      <right/>
      <top/>
      <bottom/>
      <diagonal/>
    </border>
    <border diagonalUp="false" diagonalDown="false">
      <left/>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3" borderId="0" xfId="0" applyFont="true" applyBorder="false" applyAlignment="true" applyProtection="false">
      <alignment horizontal="general" vertical="bottom" textRotation="0" wrapText="false" indent="0" shrinkToFit="false"/>
      <protection locked="true" hidden="false"/>
    </xf>
    <xf numFmtId="164" fontId="10" fillId="3" borderId="0" xfId="0" applyFont="true" applyBorder="false" applyAlignment="true" applyProtection="false">
      <alignment horizontal="center" vertical="bottom" textRotation="0" wrapText="false" indent="0" shrinkToFit="false"/>
      <protection locked="true" hidden="false"/>
    </xf>
    <xf numFmtId="165" fontId="8" fillId="0" borderId="0" xfId="0" applyFont="true" applyBorder="false" applyAlignment="tru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xf numFmtId="165" fontId="6" fillId="0" borderId="0" xfId="0" applyFont="true" applyBorder="false" applyAlignment="true" applyProtection="false">
      <alignment horizontal="general" vertical="bottom" textRotation="0" wrapText="false" indent="0" shrinkToFit="false"/>
      <protection locked="true" hidden="false"/>
    </xf>
    <xf numFmtId="166" fontId="6" fillId="0" borderId="0" xfId="0" applyFont="true" applyBorder="false" applyAlignment="true" applyProtection="false">
      <alignment horizontal="general" vertical="bottom" textRotation="0" wrapText="false" indent="0" shrinkToFit="false"/>
      <protection locked="true" hidden="false"/>
    </xf>
    <xf numFmtId="167" fontId="8" fillId="0" borderId="0" xfId="0" applyFont="true" applyBorder="false" applyAlignment="tru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general" vertical="bottom" textRotation="0" wrapText="false" indent="0" shrinkToFit="false"/>
      <protection locked="true" hidden="false"/>
    </xf>
    <xf numFmtId="167" fontId="7" fillId="0" borderId="0" xfId="0" applyFont="true" applyBorder="false" applyAlignment="true" applyProtection="false">
      <alignment horizontal="general" vertical="bottom" textRotation="0" wrapText="false" indent="0" shrinkToFit="false"/>
      <protection locked="true" hidden="false"/>
    </xf>
    <xf numFmtId="166" fontId="11" fillId="0" borderId="0" xfId="0" applyFont="true" applyBorder="false" applyAlignment="true" applyProtection="false">
      <alignment horizontal="general" vertical="bottom" textRotation="0" wrapText="false" indent="0" shrinkToFit="false"/>
      <protection locked="true" hidden="false"/>
    </xf>
    <xf numFmtId="167" fontId="7" fillId="0" borderId="1"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5" fontId="10" fillId="3"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78787"/>
      <rgbColor rgb="FF9999FF"/>
      <rgbColor rgb="FFC0504D"/>
      <rgbColor rgb="FFF9F9F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F81BD"/>
      <rgbColor rgb="FF969696"/>
      <rgbColor rgb="FF1F3864"/>
      <rgbColor rgb="FF339966"/>
      <rgbColor rgb="FF003300"/>
      <rgbColor rgb="FF333300"/>
      <rgbColor rgb="FF993300"/>
      <rgbColor rgb="FF993366"/>
      <rgbColor rgb="FF333399"/>
      <rgbColor rgb="FF55555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Ending Reserves by Year</a:t>
            </a:r>
          </a:p>
        </c:rich>
      </c:tx>
      <c:overlay val="0"/>
      <c:spPr>
        <a:noFill/>
        <a:ln w="0">
          <a:noFill/>
        </a:ln>
      </c:spPr>
    </c:title>
    <c:autoTitleDeleted val="0"/>
    <c:plotArea>
      <c:barChart>
        <c:barDir val="col"/>
        <c:grouping val="clustered"/>
        <c:varyColors val="0"/>
        <c:ser>
          <c:idx val="0"/>
          <c:order val="0"/>
          <c:tx>
            <c:strRef>
              <c:f>"Operating reserve"</c:f>
              <c:strCache>
                <c:ptCount val="1"/>
                <c:pt idx="0">
                  <c:v>Operating reserve</c:v>
                </c:pt>
              </c:strCache>
            </c:strRef>
          </c:tx>
          <c:spPr>
            <a:solidFill>
              <a:srgbClr val="4f81bd"/>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'Financial Summary'!$B$3:$F$3</c:f>
              <c:multiLvlStrCache>
                <c:ptCount val="1"/>
                <c:lvl>
                  <c:pt idx="0">
                    <c:v>2031</c:v>
                  </c:pt>
                </c:lvl>
                <c:lvl>
                  <c:pt idx="0">
                    <c:v>2030</c:v>
                  </c:pt>
                </c:lvl>
                <c:lvl>
                  <c:pt idx="0">
                    <c:v>2029</c:v>
                  </c:pt>
                </c:lvl>
                <c:lvl>
                  <c:pt idx="0">
                    <c:v>2028</c:v>
                  </c:pt>
                </c:lvl>
                <c:lvl>
                  <c:pt idx="0">
                    <c:v>2027</c:v>
                  </c:pt>
                </c:lvl>
              </c:multiLvlStrCache>
            </c:multiLvlStrRef>
          </c:cat>
          <c:val>
            <c:numRef>
              <c:f>'Financial Summary'!$B$12:$F$12</c:f>
              <c:numCache>
                <c:formatCode>\$#,##0;"($"#,##0\);\-</c:formatCode>
                <c:ptCount val="5"/>
                <c:pt idx="0">
                  <c:v>379260</c:v>
                </c:pt>
                <c:pt idx="1">
                  <c:v>503806.32</c:v>
                </c:pt>
                <c:pt idx="2">
                  <c:v>641800.27224</c:v>
                </c:pt>
                <c:pt idx="3">
                  <c:v>793798.549201681</c:v>
                </c:pt>
                <c:pt idx="4">
                  <c:v>962542.866684885</c:v>
                </c:pt>
              </c:numCache>
            </c:numRef>
          </c:val>
        </c:ser>
        <c:ser>
          <c:idx val="1"/>
          <c:order val="1"/>
          <c:tx>
            <c:strRef>
              <c:f>"Capital reserve"</c:f>
              <c:strCache>
                <c:ptCount val="1"/>
                <c:pt idx="0">
                  <c:v>Capital reserve</c:v>
                </c:pt>
              </c:strCache>
            </c:strRef>
          </c:tx>
          <c:spPr>
            <a:solidFill>
              <a:srgbClr val="c0504d"/>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'Financial Summary'!$B$3:$F$3</c:f>
              <c:multiLvlStrCache>
                <c:ptCount val="1"/>
                <c:lvl>
                  <c:pt idx="0">
                    <c:v>2031</c:v>
                  </c:pt>
                </c:lvl>
                <c:lvl>
                  <c:pt idx="0">
                    <c:v>2030</c:v>
                  </c:pt>
                </c:lvl>
                <c:lvl>
                  <c:pt idx="0">
                    <c:v>2029</c:v>
                  </c:pt>
                </c:lvl>
                <c:lvl>
                  <c:pt idx="0">
                    <c:v>2028</c:v>
                  </c:pt>
                </c:lvl>
                <c:lvl>
                  <c:pt idx="0">
                    <c:v>2027</c:v>
                  </c:pt>
                </c:lvl>
              </c:multiLvlStrCache>
            </c:multiLvlStrRef>
          </c:cat>
          <c:val>
            <c:numRef>
              <c:f>'Financial Summary'!$B$15:$F$15</c:f>
              <c:numCache>
                <c:formatCode>\$#,##0;"($"#,##0\);\-</c:formatCode>
                <c:ptCount val="5"/>
                <c:pt idx="0">
                  <c:v>450000</c:v>
                </c:pt>
                <c:pt idx="1">
                  <c:v>402000</c:v>
                </c:pt>
                <c:pt idx="2">
                  <c:v>342000</c:v>
                </c:pt>
                <c:pt idx="3">
                  <c:v>337000</c:v>
                </c:pt>
                <c:pt idx="4">
                  <c:v>295000</c:v>
                </c:pt>
              </c:numCache>
            </c:numRef>
          </c:val>
        </c:ser>
        <c:gapWidth val="150"/>
        <c:overlap val="0"/>
        <c:axId val="35833975"/>
        <c:axId val="17152482"/>
      </c:barChart>
      <c:catAx>
        <c:axId val="35833975"/>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7152482"/>
        <c:crosses val="autoZero"/>
        <c:auto val="1"/>
        <c:lblAlgn val="ctr"/>
        <c:lblOffset val="100"/>
        <c:noMultiLvlLbl val="0"/>
      </c:catAx>
      <c:valAx>
        <c:axId val="17152482"/>
        <c:scaling>
          <c:orientation val="minMax"/>
        </c:scaling>
        <c:delete val="0"/>
        <c:axPos val="l"/>
        <c:majorGridlines>
          <c:spPr>
            <a:ln w="9360">
              <a:solidFill>
                <a:srgbClr val="878787"/>
              </a:solidFill>
              <a:round/>
            </a:ln>
          </c:spPr>
        </c:majorGridlines>
        <c:numFmt formatCode="\$#,##0;&quot;($&quot;#,##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5833975"/>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20</xdr:row>
      <xdr:rowOff>176040</xdr:rowOff>
    </xdr:from>
    <xdr:to>
      <xdr:col>3</xdr:col>
      <xdr:colOff>825480</xdr:colOff>
      <xdr:row>36</xdr:row>
      <xdr:rowOff>7200</xdr:rowOff>
    </xdr:to>
    <xdr:graphicFrame>
      <xdr:nvGraphicFramePr>
        <xdr:cNvPr id="0" name="Chart 1"/>
        <xdr:cNvGraphicFramePr/>
      </xdr:nvGraphicFramePr>
      <xdr:xfrm>
        <a:off x="0" y="3995640"/>
        <a:ext cx="5759280" cy="287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6.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12"/>
  </cols>
  <sheetData>
    <row r="1" customFormat="false" ht="18" hidden="false" customHeight="true" outlineLevel="0" collapsed="false">
      <c r="A1" s="2" t="s">
        <v>0</v>
      </c>
    </row>
    <row r="2" customFormat="false" ht="15" hidden="false" customHeight="true" outlineLevel="0" collapsed="false">
      <c r="A2" s="3"/>
    </row>
    <row r="3" customFormat="false" ht="15" hidden="false" customHeight="true" outlineLevel="0" collapsed="false">
      <c r="A3" s="4" t="s">
        <v>1</v>
      </c>
    </row>
    <row r="4" customFormat="false" ht="23.25" hidden="false" customHeight="true" outlineLevel="0" collapsed="false">
      <c r="A4" s="5" t="s">
        <v>2</v>
      </c>
    </row>
    <row r="5" customFormat="false" ht="15" hidden="false" customHeight="true" outlineLevel="0" collapsed="false">
      <c r="A5" s="3"/>
    </row>
    <row r="6" customFormat="false" ht="15" hidden="false" customHeight="true" outlineLevel="0" collapsed="false">
      <c r="A6" s="4" t="s">
        <v>3</v>
      </c>
    </row>
    <row r="7" customFormat="false" ht="15" hidden="false" customHeight="true" outlineLevel="0" collapsed="false">
      <c r="A7" s="5" t="s">
        <v>4</v>
      </c>
    </row>
    <row r="8" customFormat="false" ht="15" hidden="false" customHeight="true" outlineLevel="0" collapsed="false">
      <c r="A8" s="5" t="s">
        <v>5</v>
      </c>
    </row>
    <row r="9" customFormat="false" ht="15" hidden="false" customHeight="true" outlineLevel="0" collapsed="false">
      <c r="A9" s="5" t="s">
        <v>6</v>
      </c>
    </row>
    <row r="10" customFormat="false" ht="15" hidden="false" customHeight="true" outlineLevel="0" collapsed="false">
      <c r="A10" s="5" t="s">
        <v>7</v>
      </c>
    </row>
    <row r="11" customFormat="false" ht="15" hidden="false" customHeight="true" outlineLevel="0" collapsed="false">
      <c r="A11" s="5" t="s">
        <v>8</v>
      </c>
    </row>
    <row r="12" customFormat="false" ht="15" hidden="false" customHeight="true" outlineLevel="0" collapsed="false">
      <c r="A12" s="5" t="s">
        <v>9</v>
      </c>
    </row>
    <row r="13" customFormat="false" ht="15" hidden="false" customHeight="true" outlineLevel="0" collapsed="false">
      <c r="A13" s="5" t="s">
        <v>10</v>
      </c>
    </row>
    <row r="14" customFormat="false" ht="15" hidden="false" customHeight="true" outlineLevel="0" collapsed="false">
      <c r="A14" s="3"/>
    </row>
    <row r="15" customFormat="false" ht="15" hidden="false" customHeight="true" outlineLevel="0" collapsed="false">
      <c r="A15" s="4" t="s">
        <v>11</v>
      </c>
    </row>
    <row r="16" customFormat="false" ht="23.25" hidden="false" customHeight="true" outlineLevel="0" collapsed="false">
      <c r="A16" s="5" t="s">
        <v>12</v>
      </c>
    </row>
    <row r="17" customFormat="false" ht="15" hidden="false" customHeight="true" outlineLevel="0" collapsed="false">
      <c r="A17" s="3"/>
    </row>
    <row r="18" customFormat="false" ht="15" hidden="false" customHeight="true" outlineLevel="0" collapsed="false">
      <c r="A18" s="4" t="s">
        <v>13</v>
      </c>
    </row>
    <row r="19" customFormat="false" ht="34.5" hidden="false" customHeight="true" outlineLevel="0" collapsed="false">
      <c r="A19" s="5" t="s">
        <v>14</v>
      </c>
    </row>
    <row r="20" customFormat="false" ht="15" hidden="false" customHeight="true" outlineLevel="0" collapsed="false">
      <c r="A20" s="3"/>
    </row>
    <row r="21" customFormat="false" ht="15" hidden="false" customHeight="true" outlineLevel="0" collapsed="false">
      <c r="A21" s="4" t="s">
        <v>15</v>
      </c>
    </row>
    <row r="22" customFormat="false" ht="34.5" hidden="false" customHeight="true" outlineLevel="0" collapsed="false">
      <c r="A22" s="5"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4" min="2" style="1" width="14"/>
    <col collapsed="false" customWidth="true" hidden="false" outlineLevel="0" max="5" min="5" style="1" width="3"/>
    <col collapsed="false" customWidth="true" hidden="false" outlineLevel="0" max="6" min="6" style="1" width="40"/>
  </cols>
  <sheetData>
    <row r="1" customFormat="false" ht="15.75" hidden="false" customHeight="true" outlineLevel="0" collapsed="false">
      <c r="A1" s="6" t="s">
        <v>17</v>
      </c>
    </row>
    <row r="3" customFormat="false" ht="15" hidden="false" customHeight="true" outlineLevel="0" collapsed="false">
      <c r="A3" s="7" t="s">
        <v>18</v>
      </c>
      <c r="B3" s="8" t="n">
        <v>2</v>
      </c>
      <c r="F3" s="9" t="s">
        <v>19</v>
      </c>
    </row>
    <row r="4" customFormat="false" ht="15" hidden="false" customHeight="true" outlineLevel="0" collapsed="false">
      <c r="A4" s="10" t="s">
        <v>20</v>
      </c>
      <c r="B4" s="10" t="str">
        <f aca="false">CHOOSE($B$3,"Conservative","Base","Growth")</f>
        <v>Base</v>
      </c>
      <c r="F4" s="11" t="s">
        <v>21</v>
      </c>
    </row>
    <row r="5" customFormat="false" ht="15" hidden="false" customHeight="true" outlineLevel="0" collapsed="false">
      <c r="F5" s="11" t="s">
        <v>22</v>
      </c>
    </row>
    <row r="6" customFormat="false" ht="15" hidden="false" customHeight="true" outlineLevel="0" collapsed="false">
      <c r="A6" s="9" t="s">
        <v>23</v>
      </c>
    </row>
    <row r="7" customFormat="false" ht="15" hidden="false" customHeight="true" outlineLevel="0" collapsed="false">
      <c r="A7" s="12" t="s">
        <v>24</v>
      </c>
      <c r="B7" s="13" t="s">
        <v>25</v>
      </c>
      <c r="C7" s="13" t="s">
        <v>26</v>
      </c>
      <c r="D7" s="13" t="s">
        <v>27</v>
      </c>
    </row>
    <row r="8" customFormat="false" ht="15" hidden="false" customHeight="true" outlineLevel="0" collapsed="false">
      <c r="A8" s="10" t="s">
        <v>28</v>
      </c>
      <c r="B8" s="14" t="n">
        <v>0.02</v>
      </c>
      <c r="C8" s="14" t="n">
        <v>0.04</v>
      </c>
      <c r="D8" s="14" t="n">
        <v>0.06</v>
      </c>
    </row>
    <row r="9" customFormat="false" ht="15" hidden="false" customHeight="true" outlineLevel="0" collapsed="false">
      <c r="A9" s="10" t="s">
        <v>29</v>
      </c>
      <c r="B9" s="14" t="n">
        <v>-0.02</v>
      </c>
      <c r="C9" s="14" t="n">
        <v>0</v>
      </c>
      <c r="D9" s="14" t="n">
        <v>0.03</v>
      </c>
    </row>
    <row r="10" customFormat="false" ht="15" hidden="false" customHeight="true" outlineLevel="0" collapsed="false">
      <c r="A10" s="10" t="s">
        <v>30</v>
      </c>
      <c r="B10" s="14" t="n">
        <v>0.05</v>
      </c>
      <c r="C10" s="14" t="n">
        <v>0.035</v>
      </c>
      <c r="D10" s="14" t="n">
        <v>0.03</v>
      </c>
    </row>
    <row r="11" customFormat="false" ht="15" hidden="false" customHeight="true" outlineLevel="0" collapsed="false">
      <c r="A11" s="10" t="s">
        <v>31</v>
      </c>
      <c r="B11" s="14" t="n">
        <v>0.045</v>
      </c>
      <c r="C11" s="14" t="n">
        <v>0.035</v>
      </c>
      <c r="D11" s="14" t="n">
        <v>0.03</v>
      </c>
    </row>
    <row r="12" customFormat="false" ht="15" hidden="false" customHeight="true" outlineLevel="0" collapsed="false">
      <c r="A12" s="10" t="s">
        <v>32</v>
      </c>
      <c r="B12" s="15" t="n">
        <v>6</v>
      </c>
      <c r="C12" s="15" t="n">
        <v>10</v>
      </c>
      <c r="D12" s="15" t="n">
        <v>14</v>
      </c>
    </row>
    <row r="14" customFormat="false" ht="15" hidden="false" customHeight="true" outlineLevel="0" collapsed="false">
      <c r="A14" s="9" t="s">
        <v>33</v>
      </c>
    </row>
    <row r="15" customFormat="false" ht="15" hidden="false" customHeight="true" outlineLevel="0" collapsed="false">
      <c r="A15" s="10" t="s">
        <v>34</v>
      </c>
      <c r="B15" s="16" t="n">
        <f aca="false">INDEX(B8:D8,$B$3)</f>
        <v>0.04</v>
      </c>
    </row>
    <row r="16" customFormat="false" ht="15" hidden="false" customHeight="true" outlineLevel="0" collapsed="false">
      <c r="A16" s="10" t="s">
        <v>35</v>
      </c>
      <c r="B16" s="16" t="n">
        <f aca="false">INDEX(B9:D9,$B$3)</f>
        <v>0</v>
      </c>
    </row>
    <row r="17" customFormat="false" ht="15" hidden="false" customHeight="true" outlineLevel="0" collapsed="false">
      <c r="A17" s="10" t="s">
        <v>36</v>
      </c>
      <c r="B17" s="16" t="n">
        <f aca="false">INDEX(B10:D10,$B$3)</f>
        <v>0.035</v>
      </c>
    </row>
    <row r="18" customFormat="false" ht="15" hidden="false" customHeight="true" outlineLevel="0" collapsed="false">
      <c r="A18" s="10" t="s">
        <v>37</v>
      </c>
      <c r="B18" s="16" t="n">
        <f aca="false">INDEX(B11:D11,$B$3)</f>
        <v>0.035</v>
      </c>
    </row>
    <row r="19" customFormat="false" ht="15" hidden="false" customHeight="true" outlineLevel="0" collapsed="false">
      <c r="A19" s="10" t="s">
        <v>38</v>
      </c>
      <c r="B19" s="17" t="n">
        <f aca="false">INDEX(B12:D12,$B$3)</f>
        <v>10</v>
      </c>
    </row>
    <row r="21" customFormat="false" ht="15" hidden="false" customHeight="true" outlineLevel="0" collapsed="false">
      <c r="A21" s="9" t="s">
        <v>39</v>
      </c>
    </row>
    <row r="22" customFormat="false" ht="15" hidden="false" customHeight="true" outlineLevel="0" collapsed="false">
      <c r="A22" s="10" t="s">
        <v>40</v>
      </c>
      <c r="B22" s="15" t="n">
        <v>2000</v>
      </c>
    </row>
    <row r="23" customFormat="false" ht="15" hidden="false" customHeight="true" outlineLevel="0" collapsed="false">
      <c r="A23" s="10" t="s">
        <v>41</v>
      </c>
      <c r="B23" s="18" t="n">
        <v>360</v>
      </c>
    </row>
    <row r="24" customFormat="false" ht="15" hidden="false" customHeight="true" outlineLevel="0" collapsed="false">
      <c r="A24" s="10" t="s">
        <v>42</v>
      </c>
      <c r="B24" s="15" t="n">
        <v>1200</v>
      </c>
    </row>
    <row r="25" customFormat="false" ht="15" hidden="false" customHeight="true" outlineLevel="0" collapsed="false">
      <c r="A25" s="10" t="s">
        <v>43</v>
      </c>
      <c r="B25" s="18" t="n">
        <v>85</v>
      </c>
    </row>
    <row r="26" customFormat="false" ht="15" hidden="false" customHeight="true" outlineLevel="0" collapsed="false">
      <c r="A26" s="10" t="s">
        <v>44</v>
      </c>
      <c r="B26" s="14" t="n">
        <v>0.03</v>
      </c>
    </row>
    <row r="27" customFormat="false" ht="15" hidden="false" customHeight="true" outlineLevel="0" collapsed="false">
      <c r="A27" s="10" t="s">
        <v>45</v>
      </c>
      <c r="B27" s="18" t="n">
        <v>350</v>
      </c>
    </row>
    <row r="28" customFormat="false" ht="15" hidden="false" customHeight="true" outlineLevel="0" collapsed="false">
      <c r="A28" s="10" t="s">
        <v>46</v>
      </c>
      <c r="B28" s="18" t="n">
        <v>28000</v>
      </c>
    </row>
    <row r="29" customFormat="false" ht="15" hidden="false" customHeight="true" outlineLevel="0" collapsed="false">
      <c r="A29" s="10" t="s">
        <v>47</v>
      </c>
      <c r="B29" s="14" t="n">
        <v>0.02</v>
      </c>
    </row>
    <row r="30" customFormat="false" ht="15" hidden="false" customHeight="true" outlineLevel="0" collapsed="false">
      <c r="A30" s="10" t="s">
        <v>48</v>
      </c>
      <c r="B30" s="14" t="n">
        <v>0.032</v>
      </c>
    </row>
    <row r="31" customFormat="false" ht="15" hidden="false" customHeight="true" outlineLevel="0" collapsed="false">
      <c r="A31" s="10" t="s">
        <v>49</v>
      </c>
      <c r="B31" s="14" t="n">
        <v>0.5</v>
      </c>
    </row>
    <row r="33" customFormat="false" ht="15" hidden="false" customHeight="true" outlineLevel="0" collapsed="false">
      <c r="A33" s="9" t="s">
        <v>50</v>
      </c>
    </row>
    <row r="34" customFormat="false" ht="15" hidden="false" customHeight="true" outlineLevel="0" collapsed="false">
      <c r="A34" s="10" t="s">
        <v>51</v>
      </c>
      <c r="B34" s="18" t="n">
        <v>295000</v>
      </c>
    </row>
    <row r="35" customFormat="false" ht="15" hidden="false" customHeight="true" outlineLevel="0" collapsed="false">
      <c r="A35" s="10" t="s">
        <v>52</v>
      </c>
      <c r="B35" s="18" t="n">
        <v>88000</v>
      </c>
    </row>
    <row r="36" customFormat="false" ht="15" hidden="false" customHeight="true" outlineLevel="0" collapsed="false">
      <c r="A36" s="10" t="s">
        <v>53</v>
      </c>
      <c r="B36" s="18" t="n">
        <v>62000</v>
      </c>
    </row>
    <row r="37" customFormat="false" ht="15" hidden="false" customHeight="true" outlineLevel="0" collapsed="false">
      <c r="A37" s="10" t="s">
        <v>54</v>
      </c>
      <c r="B37" s="18" t="n">
        <v>35000</v>
      </c>
    </row>
    <row r="38" customFormat="false" ht="15" hidden="false" customHeight="true" outlineLevel="0" collapsed="false">
      <c r="A38" s="10" t="s">
        <v>55</v>
      </c>
      <c r="B38" s="18" t="n">
        <v>48000</v>
      </c>
    </row>
    <row r="39" customFormat="false" ht="15" hidden="false" customHeight="true" outlineLevel="0" collapsed="false">
      <c r="A39" s="10" t="s">
        <v>56</v>
      </c>
      <c r="B39" s="18" t="n">
        <v>41000</v>
      </c>
    </row>
    <row r="40" customFormat="false" ht="15" hidden="false" customHeight="true" outlineLevel="0" collapsed="false">
      <c r="A40" s="10" t="s">
        <v>57</v>
      </c>
      <c r="B40" s="18" t="n">
        <v>33000</v>
      </c>
    </row>
    <row r="41" customFormat="false" ht="15" hidden="false" customHeight="true" outlineLevel="0" collapsed="false">
      <c r="A41" s="10" t="s">
        <v>58</v>
      </c>
      <c r="B41" s="18" t="n">
        <v>24000</v>
      </c>
    </row>
    <row r="43" customFormat="false" ht="15" hidden="false" customHeight="true" outlineLevel="0" collapsed="false">
      <c r="A43" s="9" t="s">
        <v>59</v>
      </c>
    </row>
    <row r="44" customFormat="false" ht="15" hidden="false" customHeight="true" outlineLevel="0" collapsed="false">
      <c r="A44" s="10" t="s">
        <v>60</v>
      </c>
      <c r="B44" s="18" t="n">
        <v>270000</v>
      </c>
    </row>
    <row r="45" customFormat="false" ht="15" hidden="false" customHeight="true" outlineLevel="0" collapsed="false">
      <c r="A45" s="10" t="s">
        <v>61</v>
      </c>
      <c r="B45" s="18" t="n">
        <v>410000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6" min="2" style="1" width="13"/>
  </cols>
  <sheetData>
    <row r="1" customFormat="false" ht="15.75" hidden="false" customHeight="true" outlineLevel="0" collapsed="false">
      <c r="A1" s="6" t="s">
        <v>62</v>
      </c>
    </row>
    <row r="3" customFormat="false" ht="15" hidden="false" customHeight="true" outlineLevel="0" collapsed="false">
      <c r="A3" s="12" t="s">
        <v>63</v>
      </c>
      <c r="B3" s="13" t="s">
        <v>64</v>
      </c>
      <c r="C3" s="13" t="s">
        <v>65</v>
      </c>
      <c r="D3" s="13" t="s">
        <v>66</v>
      </c>
      <c r="E3" s="13" t="s">
        <v>67</v>
      </c>
      <c r="F3" s="13" t="s">
        <v>68</v>
      </c>
    </row>
    <row r="4" customFormat="false" ht="15" hidden="false" customHeight="true" outlineLevel="0" collapsed="false">
      <c r="A4" s="10" t="s">
        <v>69</v>
      </c>
      <c r="B4" s="19" t="n">
        <f aca="false">Assumptions!$B$23</f>
        <v>360</v>
      </c>
      <c r="C4" s="20" t="n">
        <f aca="false">B4*(1+Assumptions!$B$15)</f>
        <v>374.4</v>
      </c>
      <c r="D4" s="20" t="n">
        <f aca="false">C4*(1+Assumptions!$B$15)</f>
        <v>389.376</v>
      </c>
      <c r="E4" s="20" t="n">
        <f aca="false">D4*(1+Assumptions!$B$15)</f>
        <v>404.95104</v>
      </c>
      <c r="F4" s="20" t="n">
        <f aca="false">E4*(1+Assumptions!$B$15)</f>
        <v>421.1490816</v>
      </c>
    </row>
    <row r="5" customFormat="false" ht="15" hidden="false" customHeight="true" outlineLevel="0" collapsed="false">
      <c r="A5" s="7" t="s">
        <v>70</v>
      </c>
      <c r="B5" s="21" t="n">
        <f aca="false">B4*Assumptions!$B$22</f>
        <v>720000</v>
      </c>
      <c r="C5" s="21" t="n">
        <f aca="false">C4*Assumptions!$B$22</f>
        <v>748800</v>
      </c>
      <c r="D5" s="21" t="n">
        <f aca="false">D4*Assumptions!$B$22</f>
        <v>778752</v>
      </c>
      <c r="E5" s="21" t="n">
        <f aca="false">E4*Assumptions!$B$22</f>
        <v>809902.08</v>
      </c>
      <c r="F5" s="21" t="n">
        <f aca="false">F4*Assumptions!$B$22</f>
        <v>842298.1632</v>
      </c>
    </row>
    <row r="7" customFormat="false" ht="15" hidden="false" customHeight="true" outlineLevel="0" collapsed="false">
      <c r="A7" s="10" t="s">
        <v>71</v>
      </c>
      <c r="B7" s="22" t="n">
        <f aca="false">Assumptions!$B$24</f>
        <v>1200</v>
      </c>
      <c r="C7" s="17" t="n">
        <f aca="false">B7*(1+Assumptions!$B$16)</f>
        <v>1200</v>
      </c>
      <c r="D7" s="17" t="n">
        <f aca="false">C7*(1+Assumptions!$B$16)</f>
        <v>1200</v>
      </c>
      <c r="E7" s="17" t="n">
        <f aca="false">D7*(1+Assumptions!$B$16)</f>
        <v>1200</v>
      </c>
      <c r="F7" s="17" t="n">
        <f aca="false">E7*(1+Assumptions!$B$16)</f>
        <v>1200</v>
      </c>
    </row>
    <row r="8" customFormat="false" ht="15" hidden="false" customHeight="true" outlineLevel="0" collapsed="false">
      <c r="A8" s="10" t="s">
        <v>72</v>
      </c>
      <c r="B8" s="19" t="n">
        <f aca="false">Assumptions!$B$25</f>
        <v>85</v>
      </c>
      <c r="C8" s="20" t="n">
        <f aca="false">B8*(1+Assumptions!$B$26)</f>
        <v>87.55</v>
      </c>
      <c r="D8" s="20" t="n">
        <f aca="false">C8*(1+Assumptions!$B$26)</f>
        <v>90.1765</v>
      </c>
      <c r="E8" s="20" t="n">
        <f aca="false">D8*(1+Assumptions!$B$26)</f>
        <v>92.881795</v>
      </c>
      <c r="F8" s="20" t="n">
        <f aca="false">E8*(1+Assumptions!$B$26)</f>
        <v>95.66824885</v>
      </c>
    </row>
    <row r="9" customFormat="false" ht="15" hidden="false" customHeight="true" outlineLevel="0" collapsed="false">
      <c r="A9" s="7" t="s">
        <v>73</v>
      </c>
      <c r="B9" s="21" t="n">
        <f aca="false">B7*B8</f>
        <v>102000</v>
      </c>
      <c r="C9" s="21" t="n">
        <f aca="false">C7*C8</f>
        <v>105060</v>
      </c>
      <c r="D9" s="21" t="n">
        <f aca="false">D7*D8</f>
        <v>108211.8</v>
      </c>
      <c r="E9" s="21" t="n">
        <f aca="false">E7*E8</f>
        <v>111458.154</v>
      </c>
      <c r="F9" s="21" t="n">
        <f aca="false">F7*F8</f>
        <v>114801.89862</v>
      </c>
    </row>
    <row r="11" customFormat="false" ht="15" hidden="false" customHeight="true" outlineLevel="0" collapsed="false">
      <c r="A11" s="10" t="s">
        <v>74</v>
      </c>
      <c r="B11" s="20" t="n">
        <f aca="false">Assumptions!$B$19*Assumptions!$B$27</f>
        <v>3500</v>
      </c>
      <c r="C11" s="20" t="n">
        <f aca="false">Assumptions!$B$19*Assumptions!$B$27</f>
        <v>3500</v>
      </c>
      <c r="D11" s="20" t="n">
        <f aca="false">Assumptions!$B$19*Assumptions!$B$27</f>
        <v>3500</v>
      </c>
      <c r="E11" s="20" t="n">
        <f aca="false">Assumptions!$B$19*Assumptions!$B$27</f>
        <v>3500</v>
      </c>
      <c r="F11" s="20" t="n">
        <f aca="false">Assumptions!$B$19*Assumptions!$B$27</f>
        <v>3500</v>
      </c>
    </row>
    <row r="12" customFormat="false" ht="15" hidden="false" customHeight="true" outlineLevel="0" collapsed="false">
      <c r="A12" s="10" t="s">
        <v>75</v>
      </c>
      <c r="B12" s="19" t="n">
        <f aca="false">Assumptions!$B$28</f>
        <v>28000</v>
      </c>
      <c r="C12" s="20" t="n">
        <f aca="false">B12*(1+Assumptions!$B$29)</f>
        <v>28560</v>
      </c>
      <c r="D12" s="20" t="n">
        <f aca="false">C12*(1+Assumptions!$B$29)</f>
        <v>29131.2</v>
      </c>
      <c r="E12" s="20" t="n">
        <f aca="false">D12*(1+Assumptions!$B$29)</f>
        <v>29713.824</v>
      </c>
      <c r="F12" s="20" t="n">
        <f aca="false">E12*(1+Assumptions!$B$29)</f>
        <v>30308.10048</v>
      </c>
    </row>
    <row r="13" customFormat="false" ht="15" hidden="false" customHeight="true" outlineLevel="0" collapsed="false">
      <c r="A13" s="10" t="s">
        <v>76</v>
      </c>
      <c r="B13" s="20" t="n">
        <f aca="false">(Assumptions!$B$44+Assumptions!$B$45)*Assumptions!$B$30</f>
        <v>21760</v>
      </c>
      <c r="C13" s="19" t="n">
        <f aca="false">'Financial Summary'!B16*Assumptions!$B$30</f>
        <v>26536.32</v>
      </c>
      <c r="D13" s="19" t="n">
        <f aca="false">'Financial Summary'!C16*Assumptions!$B$30</f>
        <v>28985.80224</v>
      </c>
      <c r="E13" s="19" t="n">
        <f aca="false">'Financial Summary'!D16*Assumptions!$B$30</f>
        <v>31481.60871168</v>
      </c>
      <c r="F13" s="19" t="n">
        <f aca="false">'Financial Summary'!E16*Assumptions!$B$30</f>
        <v>36185.5535744538</v>
      </c>
    </row>
    <row r="15" customFormat="false" ht="15" hidden="false" customHeight="true" outlineLevel="0" collapsed="false">
      <c r="A15" s="7" t="s">
        <v>77</v>
      </c>
      <c r="B15" s="23" t="n">
        <f aca="false">SUM(B5,B9,B11:B13)</f>
        <v>875260</v>
      </c>
      <c r="C15" s="23" t="n">
        <f aca="false">SUM(C5,C9,C11:C13)</f>
        <v>912456.32</v>
      </c>
      <c r="D15" s="23" t="n">
        <f aca="false">SUM(D5,D9,D11:D13)</f>
        <v>948580.80224</v>
      </c>
      <c r="E15" s="23" t="n">
        <f aca="false">SUM(E5,E9,E11:E13)</f>
        <v>986055.66671168</v>
      </c>
      <c r="F15" s="23" t="n">
        <f aca="false">SUM(F5,F9,F11:F13)</f>
        <v>1027093.71587445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6" min="2" style="1" width="13"/>
  </cols>
  <sheetData>
    <row r="1" customFormat="false" ht="15.75" hidden="false" customHeight="true" outlineLevel="0" collapsed="false">
      <c r="A1" s="6" t="s">
        <v>78</v>
      </c>
    </row>
    <row r="3" customFormat="false" ht="15" hidden="false" customHeight="true" outlineLevel="0" collapsed="false">
      <c r="A3" s="12" t="s">
        <v>63</v>
      </c>
      <c r="B3" s="13" t="s">
        <v>64</v>
      </c>
      <c r="C3" s="13" t="s">
        <v>65</v>
      </c>
      <c r="D3" s="13" t="s">
        <v>66</v>
      </c>
      <c r="E3" s="13" t="s">
        <v>67</v>
      </c>
      <c r="F3" s="13" t="s">
        <v>68</v>
      </c>
    </row>
    <row r="4" customFormat="false" ht="15" hidden="false" customHeight="true" outlineLevel="0" collapsed="false">
      <c r="A4" s="10" t="s">
        <v>79</v>
      </c>
      <c r="B4" s="19" t="n">
        <f aca="false">Assumptions!$B$34</f>
        <v>295000</v>
      </c>
      <c r="C4" s="20" t="n">
        <f aca="false">B4*(1+Assumptions!$B$18)</f>
        <v>305325</v>
      </c>
      <c r="D4" s="20" t="n">
        <f aca="false">C4*(1+Assumptions!$B$18)</f>
        <v>316011.375</v>
      </c>
      <c r="E4" s="20" t="n">
        <f aca="false">D4*(1+Assumptions!$B$18)</f>
        <v>327071.773125</v>
      </c>
      <c r="F4" s="20" t="n">
        <f aca="false">E4*(1+Assumptions!$B$18)</f>
        <v>338519.285184375</v>
      </c>
    </row>
    <row r="5" customFormat="false" ht="15" hidden="false" customHeight="true" outlineLevel="0" collapsed="false">
      <c r="A5" s="10" t="s">
        <v>52</v>
      </c>
      <c r="B5" s="19" t="n">
        <f aca="false">Assumptions!$B$35</f>
        <v>88000</v>
      </c>
      <c r="C5" s="20" t="n">
        <f aca="false">B5*(1+Assumptions!$B$17)</f>
        <v>91080</v>
      </c>
      <c r="D5" s="20" t="n">
        <f aca="false">C5*(1+Assumptions!$B$17)</f>
        <v>94267.8</v>
      </c>
      <c r="E5" s="20" t="n">
        <f aca="false">D5*(1+Assumptions!$B$17)</f>
        <v>97567.173</v>
      </c>
      <c r="F5" s="20" t="n">
        <f aca="false">E5*(1+Assumptions!$B$17)</f>
        <v>100982.024055</v>
      </c>
    </row>
    <row r="6" customFormat="false" ht="15" hidden="false" customHeight="true" outlineLevel="0" collapsed="false">
      <c r="A6" s="10" t="s">
        <v>53</v>
      </c>
      <c r="B6" s="19" t="n">
        <f aca="false">Assumptions!$B$36</f>
        <v>62000</v>
      </c>
      <c r="C6" s="20" t="n">
        <f aca="false">B6*(1+Assumptions!$B$17)</f>
        <v>64170</v>
      </c>
      <c r="D6" s="20" t="n">
        <f aca="false">C6*(1+Assumptions!$B$17)</f>
        <v>66415.95</v>
      </c>
      <c r="E6" s="20" t="n">
        <f aca="false">D6*(1+Assumptions!$B$17)</f>
        <v>68740.50825</v>
      </c>
      <c r="F6" s="20" t="n">
        <f aca="false">E6*(1+Assumptions!$B$17)</f>
        <v>71146.42603875</v>
      </c>
    </row>
    <row r="7" customFormat="false" ht="15" hidden="false" customHeight="true" outlineLevel="0" collapsed="false">
      <c r="A7" s="10" t="s">
        <v>54</v>
      </c>
      <c r="B7" s="19" t="n">
        <f aca="false">Assumptions!$B$37</f>
        <v>35000</v>
      </c>
      <c r="C7" s="20" t="n">
        <f aca="false">B7*(1+Assumptions!$B$17)</f>
        <v>36225</v>
      </c>
      <c r="D7" s="20" t="n">
        <f aca="false">C7*(1+Assumptions!$B$17)</f>
        <v>37492.875</v>
      </c>
      <c r="E7" s="20" t="n">
        <f aca="false">D7*(1+Assumptions!$B$17)</f>
        <v>38805.125625</v>
      </c>
      <c r="F7" s="20" t="n">
        <f aca="false">E7*(1+Assumptions!$B$17)</f>
        <v>40163.305021875</v>
      </c>
    </row>
    <row r="8" customFormat="false" ht="15" hidden="false" customHeight="true" outlineLevel="0" collapsed="false">
      <c r="A8" s="10" t="s">
        <v>55</v>
      </c>
      <c r="B8" s="19" t="n">
        <f aca="false">Assumptions!$B$38</f>
        <v>48000</v>
      </c>
      <c r="C8" s="20" t="n">
        <f aca="false">B8*(1+Assumptions!$B$17)</f>
        <v>49680</v>
      </c>
      <c r="D8" s="20" t="n">
        <f aca="false">C8*(1+Assumptions!$B$17)</f>
        <v>51418.8</v>
      </c>
      <c r="E8" s="20" t="n">
        <f aca="false">D8*(1+Assumptions!$B$17)</f>
        <v>53218.458</v>
      </c>
      <c r="F8" s="20" t="n">
        <f aca="false">E8*(1+Assumptions!$B$17)</f>
        <v>55081.10403</v>
      </c>
    </row>
    <row r="9" customFormat="false" ht="15" hidden="false" customHeight="true" outlineLevel="0" collapsed="false">
      <c r="A9" s="10" t="s">
        <v>56</v>
      </c>
      <c r="B9" s="19" t="n">
        <f aca="false">Assumptions!$B$39</f>
        <v>41000</v>
      </c>
      <c r="C9" s="20" t="n">
        <f aca="false">B9*(1+Assumptions!$B$17)</f>
        <v>42435</v>
      </c>
      <c r="D9" s="20" t="n">
        <f aca="false">C9*(1+Assumptions!$B$17)</f>
        <v>43920.225</v>
      </c>
      <c r="E9" s="20" t="n">
        <f aca="false">D9*(1+Assumptions!$B$17)</f>
        <v>45457.432875</v>
      </c>
      <c r="F9" s="20" t="n">
        <f aca="false">E9*(1+Assumptions!$B$17)</f>
        <v>47048.443025625</v>
      </c>
    </row>
    <row r="10" customFormat="false" ht="15" hidden="false" customHeight="true" outlineLevel="0" collapsed="false">
      <c r="A10" s="10" t="s">
        <v>57</v>
      </c>
      <c r="B10" s="19" t="n">
        <f aca="false">Assumptions!$B$40</f>
        <v>33000</v>
      </c>
      <c r="C10" s="20" t="n">
        <f aca="false">B10*(1+Assumptions!$B$17)</f>
        <v>34155</v>
      </c>
      <c r="D10" s="20" t="n">
        <f aca="false">C10*(1+Assumptions!$B$17)</f>
        <v>35350.425</v>
      </c>
      <c r="E10" s="20" t="n">
        <f aca="false">D10*(1+Assumptions!$B$17)</f>
        <v>36587.689875</v>
      </c>
      <c r="F10" s="20" t="n">
        <f aca="false">E10*(1+Assumptions!$B$17)</f>
        <v>37868.259020625</v>
      </c>
    </row>
    <row r="11" customFormat="false" ht="15" hidden="false" customHeight="true" outlineLevel="0" collapsed="false">
      <c r="A11" s="10" t="s">
        <v>58</v>
      </c>
      <c r="B11" s="19" t="n">
        <f aca="false">Assumptions!$B$41</f>
        <v>24000</v>
      </c>
      <c r="C11" s="20" t="n">
        <f aca="false">B11*(1+Assumptions!$B$17)</f>
        <v>24840</v>
      </c>
      <c r="D11" s="20" t="n">
        <f aca="false">C11*(1+Assumptions!$B$17)</f>
        <v>25709.4</v>
      </c>
      <c r="E11" s="20" t="n">
        <f aca="false">D11*(1+Assumptions!$B$17)</f>
        <v>26609.229</v>
      </c>
      <c r="F11" s="20" t="n">
        <f aca="false">E11*(1+Assumptions!$B$17)</f>
        <v>27540.552015</v>
      </c>
    </row>
    <row r="13" customFormat="false" ht="15" hidden="false" customHeight="true" outlineLevel="0" collapsed="false">
      <c r="A13" s="7" t="s">
        <v>80</v>
      </c>
      <c r="B13" s="23" t="n">
        <f aca="false">SUM(B4:B11)</f>
        <v>626000</v>
      </c>
      <c r="C13" s="23" t="n">
        <f aca="false">SUM(C4:C11)</f>
        <v>647910</v>
      </c>
      <c r="D13" s="23" t="n">
        <f aca="false">SUM(D4:D11)</f>
        <v>670586.85</v>
      </c>
      <c r="E13" s="23" t="n">
        <f aca="false">SUM(E4:E11)</f>
        <v>694057.38975</v>
      </c>
      <c r="F13" s="23" t="n">
        <f aca="false">SUM(F4:F11)</f>
        <v>718349.39839125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6" min="2" style="1" width="13"/>
  </cols>
  <sheetData>
    <row r="1" customFormat="false" ht="15.75" hidden="false" customHeight="true" outlineLevel="0" collapsed="false">
      <c r="A1" s="6" t="s">
        <v>81</v>
      </c>
    </row>
    <row r="3" customFormat="false" ht="15" hidden="false" customHeight="true" outlineLevel="0" collapsed="false">
      <c r="A3" s="12" t="s">
        <v>63</v>
      </c>
      <c r="B3" s="13" t="s">
        <v>64</v>
      </c>
      <c r="C3" s="13" t="s">
        <v>65</v>
      </c>
      <c r="D3" s="13" t="s">
        <v>66</v>
      </c>
      <c r="E3" s="13" t="s">
        <v>67</v>
      </c>
      <c r="F3" s="13" t="s">
        <v>68</v>
      </c>
    </row>
    <row r="4" customFormat="false" ht="15" hidden="false" customHeight="true" outlineLevel="0" collapsed="false">
      <c r="A4" s="10" t="s">
        <v>82</v>
      </c>
      <c r="B4" s="18" t="n">
        <v>0</v>
      </c>
      <c r="C4" s="18" t="n">
        <v>120000</v>
      </c>
      <c r="D4" s="18" t="n">
        <v>180000</v>
      </c>
      <c r="E4" s="18" t="n">
        <v>0</v>
      </c>
      <c r="F4" s="18" t="n">
        <v>0</v>
      </c>
    </row>
    <row r="5" customFormat="false" ht="15" hidden="false" customHeight="true" outlineLevel="0" collapsed="false">
      <c r="A5" s="10" t="s">
        <v>83</v>
      </c>
      <c r="B5" s="18" t="n">
        <v>45000</v>
      </c>
      <c r="C5" s="18" t="n">
        <v>0</v>
      </c>
      <c r="D5" s="18" t="n">
        <v>0</v>
      </c>
      <c r="E5" s="18" t="n">
        <v>55000</v>
      </c>
      <c r="F5" s="18" t="n">
        <v>0</v>
      </c>
    </row>
    <row r="6" customFormat="false" ht="15" hidden="false" customHeight="true" outlineLevel="0" collapsed="false">
      <c r="A6" s="10" t="s">
        <v>84</v>
      </c>
      <c r="B6" s="18" t="n">
        <v>30000</v>
      </c>
      <c r="C6" s="18" t="n">
        <v>30000</v>
      </c>
      <c r="D6" s="18" t="n">
        <v>0</v>
      </c>
      <c r="E6" s="18" t="n">
        <v>0</v>
      </c>
      <c r="F6" s="18" t="n">
        <v>0</v>
      </c>
    </row>
    <row r="7" customFormat="false" ht="15" hidden="false" customHeight="true" outlineLevel="0" collapsed="false">
      <c r="A7" s="10" t="s">
        <v>85</v>
      </c>
      <c r="B7" s="18" t="n">
        <v>0</v>
      </c>
      <c r="C7" s="18" t="n">
        <v>0</v>
      </c>
      <c r="D7" s="18" t="n">
        <v>0</v>
      </c>
      <c r="E7" s="18" t="n">
        <v>90000</v>
      </c>
      <c r="F7" s="18" t="n">
        <v>140000</v>
      </c>
    </row>
    <row r="8" customFormat="false" ht="15" hidden="false" customHeight="true" outlineLevel="0" collapsed="false">
      <c r="A8" s="10" t="s">
        <v>86</v>
      </c>
      <c r="B8" s="18" t="n">
        <v>25000</v>
      </c>
      <c r="C8" s="18" t="n">
        <v>0</v>
      </c>
      <c r="D8" s="18" t="n">
        <v>20000</v>
      </c>
      <c r="E8" s="18" t="n">
        <v>0</v>
      </c>
      <c r="F8" s="18" t="n">
        <v>0</v>
      </c>
    </row>
    <row r="9" customFormat="false" ht="15" hidden="false" customHeight="true" outlineLevel="0" collapsed="false">
      <c r="A9" s="10" t="s">
        <v>87</v>
      </c>
      <c r="B9" s="18" t="n">
        <v>0</v>
      </c>
      <c r="C9" s="18" t="n">
        <v>38000</v>
      </c>
      <c r="D9" s="18" t="n">
        <v>0</v>
      </c>
      <c r="E9" s="18" t="n">
        <v>0</v>
      </c>
      <c r="F9" s="18" t="n">
        <v>42000</v>
      </c>
    </row>
    <row r="11" customFormat="false" ht="15" hidden="false" customHeight="true" outlineLevel="0" collapsed="false">
      <c r="A11" s="7" t="s">
        <v>88</v>
      </c>
      <c r="B11" s="23" t="n">
        <f aca="false">SUM(B4:B9)</f>
        <v>100000</v>
      </c>
      <c r="C11" s="23" t="n">
        <f aca="false">SUM(C4:C9)</f>
        <v>188000</v>
      </c>
      <c r="D11" s="23" t="n">
        <f aca="false">SUM(D4:D9)</f>
        <v>200000</v>
      </c>
      <c r="E11" s="23" t="n">
        <f aca="false">SUM(E4:E9)</f>
        <v>145000</v>
      </c>
      <c r="F11" s="23" t="n">
        <f aca="false">SUM(F4:F9)</f>
        <v>182000</v>
      </c>
    </row>
    <row r="13" customFormat="false" ht="15" hidden="false" customHeight="true" outlineLevel="0" collapsed="false">
      <c r="A13" s="7" t="s">
        <v>89</v>
      </c>
      <c r="B13" s="18" t="n">
        <v>140000</v>
      </c>
      <c r="C13" s="18" t="n">
        <v>140000</v>
      </c>
      <c r="D13" s="18" t="n">
        <v>140000</v>
      </c>
      <c r="E13" s="18" t="n">
        <v>140000</v>
      </c>
      <c r="F13" s="18" t="n">
        <v>140000</v>
      </c>
    </row>
    <row r="14" customFormat="false" ht="15" hidden="false" customHeight="true" outlineLevel="0" collapsed="false">
      <c r="A14" s="11" t="s">
        <v>90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6" min="2" style="1" width="13"/>
  </cols>
  <sheetData>
    <row r="1" customFormat="false" ht="15.75" hidden="false" customHeight="true" outlineLevel="0" collapsed="false">
      <c r="A1" s="6" t="s">
        <v>91</v>
      </c>
    </row>
    <row r="2" customFormat="false" ht="15" hidden="false" customHeight="true" outlineLevel="0" collapsed="false">
      <c r="A2" s="24" t="str">
        <f aca="false">"Active scenario: "&amp;Assumptions!$B$4</f>
        <v>Active scenario: Base</v>
      </c>
    </row>
    <row r="3" customFormat="false" ht="15" hidden="false" customHeight="true" outlineLevel="0" collapsed="false">
      <c r="A3" s="12" t="s">
        <v>63</v>
      </c>
      <c r="B3" s="13" t="s">
        <v>64</v>
      </c>
      <c r="C3" s="13" t="s">
        <v>65</v>
      </c>
      <c r="D3" s="13" t="s">
        <v>66</v>
      </c>
      <c r="E3" s="13" t="s">
        <v>67</v>
      </c>
      <c r="F3" s="13" t="s">
        <v>68</v>
      </c>
    </row>
    <row r="4" customFormat="false" ht="15" hidden="false" customHeight="true" outlineLevel="0" collapsed="false">
      <c r="A4" s="10" t="s">
        <v>77</v>
      </c>
      <c r="B4" s="19" t="n">
        <f aca="false">Revenue!B15</f>
        <v>875260</v>
      </c>
      <c r="C4" s="19" t="n">
        <f aca="false">Revenue!C15</f>
        <v>912456.32</v>
      </c>
      <c r="D4" s="19" t="n">
        <f aca="false">Revenue!D15</f>
        <v>948580.80224</v>
      </c>
      <c r="E4" s="19" t="n">
        <f aca="false">Revenue!E15</f>
        <v>986055.66671168</v>
      </c>
      <c r="F4" s="19" t="n">
        <f aca="false">Revenue!F15</f>
        <v>1027093.71587445</v>
      </c>
    </row>
    <row r="5" customFormat="false" ht="15" hidden="false" customHeight="true" outlineLevel="0" collapsed="false">
      <c r="A5" s="10" t="s">
        <v>80</v>
      </c>
      <c r="B5" s="19" t="n">
        <f aca="false">'Operating Expenses'!B13</f>
        <v>626000</v>
      </c>
      <c r="C5" s="19" t="n">
        <f aca="false">'Operating Expenses'!C13</f>
        <v>647910</v>
      </c>
      <c r="D5" s="19" t="n">
        <f aca="false">'Operating Expenses'!D13</f>
        <v>670586.85</v>
      </c>
      <c r="E5" s="19" t="n">
        <f aca="false">'Operating Expenses'!E13</f>
        <v>694057.38975</v>
      </c>
      <c r="F5" s="19" t="n">
        <f aca="false">'Operating Expenses'!F13</f>
        <v>718349.39839125</v>
      </c>
    </row>
    <row r="6" customFormat="false" ht="15" hidden="false" customHeight="true" outlineLevel="0" collapsed="false">
      <c r="A6" s="7" t="s">
        <v>92</v>
      </c>
      <c r="B6" s="23" t="n">
        <f aca="false">B4-B5</f>
        <v>249260</v>
      </c>
      <c r="C6" s="23" t="n">
        <f aca="false">C4-C5</f>
        <v>264546.32</v>
      </c>
      <c r="D6" s="23" t="n">
        <f aca="false">D4-D5</f>
        <v>277993.95224</v>
      </c>
      <c r="E6" s="23" t="n">
        <f aca="false">E4-E5</f>
        <v>291998.27696168</v>
      </c>
      <c r="F6" s="23" t="n">
        <f aca="false">F4-F5</f>
        <v>308744.317483204</v>
      </c>
    </row>
    <row r="8" customFormat="false" ht="15" hidden="false" customHeight="true" outlineLevel="0" collapsed="false">
      <c r="A8" s="10" t="s">
        <v>93</v>
      </c>
      <c r="B8" s="19" t="n">
        <f aca="false">'Capital Plan'!B13</f>
        <v>140000</v>
      </c>
      <c r="C8" s="19" t="n">
        <f aca="false">'Capital Plan'!C13</f>
        <v>140000</v>
      </c>
      <c r="D8" s="19" t="n">
        <f aca="false">'Capital Plan'!D13</f>
        <v>140000</v>
      </c>
      <c r="E8" s="19" t="n">
        <f aca="false">'Capital Plan'!E13</f>
        <v>140000</v>
      </c>
      <c r="F8" s="19" t="n">
        <f aca="false">'Capital Plan'!F13</f>
        <v>140000</v>
      </c>
    </row>
    <row r="9" customFormat="false" ht="15" hidden="false" customHeight="true" outlineLevel="0" collapsed="false">
      <c r="A9" s="10" t="s">
        <v>94</v>
      </c>
      <c r="B9" s="19" t="n">
        <f aca="false">'Capital Plan'!B11</f>
        <v>100000</v>
      </c>
      <c r="C9" s="19" t="n">
        <f aca="false">'Capital Plan'!C11</f>
        <v>188000</v>
      </c>
      <c r="D9" s="19" t="n">
        <f aca="false">'Capital Plan'!D11</f>
        <v>200000</v>
      </c>
      <c r="E9" s="19" t="n">
        <f aca="false">'Capital Plan'!E11</f>
        <v>145000</v>
      </c>
      <c r="F9" s="19" t="n">
        <f aca="false">'Capital Plan'!F11</f>
        <v>182000</v>
      </c>
    </row>
    <row r="11" customFormat="false" ht="15" hidden="false" customHeight="true" outlineLevel="0" collapsed="false">
      <c r="A11" s="10" t="s">
        <v>95</v>
      </c>
      <c r="B11" s="19" t="n">
        <f aca="false">Assumptions!$B$44</f>
        <v>270000</v>
      </c>
      <c r="C11" s="20" t="n">
        <f aca="false">B12</f>
        <v>379260</v>
      </c>
      <c r="D11" s="20" t="n">
        <f aca="false">C12</f>
        <v>503806.32</v>
      </c>
      <c r="E11" s="20" t="n">
        <f aca="false">D12</f>
        <v>641800.27224</v>
      </c>
      <c r="F11" s="20" t="n">
        <f aca="false">E12</f>
        <v>793798.549201681</v>
      </c>
    </row>
    <row r="12" customFormat="false" ht="15" hidden="false" customHeight="true" outlineLevel="0" collapsed="false">
      <c r="A12" s="7" t="s">
        <v>96</v>
      </c>
      <c r="B12" s="21" t="n">
        <f aca="false">B11+B6-B8</f>
        <v>379260</v>
      </c>
      <c r="C12" s="21" t="n">
        <f aca="false">C11+C6-C8</f>
        <v>503806.32</v>
      </c>
      <c r="D12" s="21" t="n">
        <f aca="false">D11+D6-D8</f>
        <v>641800.27224</v>
      </c>
      <c r="E12" s="21" t="n">
        <f aca="false">E11+E6-E8</f>
        <v>793798.549201681</v>
      </c>
      <c r="F12" s="21" t="n">
        <f aca="false">F11+F6-F8</f>
        <v>962542.866684885</v>
      </c>
    </row>
    <row r="14" customFormat="false" ht="15" hidden="false" customHeight="true" outlineLevel="0" collapsed="false">
      <c r="A14" s="10" t="s">
        <v>97</v>
      </c>
      <c r="B14" s="19" t="n">
        <f aca="false">Assumptions!$B$45</f>
        <v>410000</v>
      </c>
      <c r="C14" s="20" t="n">
        <f aca="false">B15</f>
        <v>450000</v>
      </c>
      <c r="D14" s="20" t="n">
        <f aca="false">C15</f>
        <v>402000</v>
      </c>
      <c r="E14" s="20" t="n">
        <f aca="false">D15</f>
        <v>342000</v>
      </c>
      <c r="F14" s="20" t="n">
        <f aca="false">E15</f>
        <v>337000</v>
      </c>
    </row>
    <row r="15" customFormat="false" ht="15" hidden="false" customHeight="true" outlineLevel="0" collapsed="false">
      <c r="A15" s="7" t="s">
        <v>98</v>
      </c>
      <c r="B15" s="21" t="n">
        <f aca="false">B14+B8-B9</f>
        <v>450000</v>
      </c>
      <c r="C15" s="21" t="n">
        <f aca="false">C14+C8-C9</f>
        <v>402000</v>
      </c>
      <c r="D15" s="21" t="n">
        <f aca="false">D14+D8-D9</f>
        <v>342000</v>
      </c>
      <c r="E15" s="21" t="n">
        <f aca="false">E14+E8-E9</f>
        <v>337000</v>
      </c>
      <c r="F15" s="21" t="n">
        <f aca="false">F14+F8-F9</f>
        <v>295000</v>
      </c>
    </row>
    <row r="16" customFormat="false" ht="15" hidden="false" customHeight="true" outlineLevel="0" collapsed="false">
      <c r="A16" s="7" t="s">
        <v>99</v>
      </c>
      <c r="B16" s="23" t="n">
        <f aca="false">B12+B15</f>
        <v>829260</v>
      </c>
      <c r="C16" s="23" t="n">
        <f aca="false">C12+C15</f>
        <v>905806.32</v>
      </c>
      <c r="D16" s="23" t="n">
        <f aca="false">D12+D15</f>
        <v>983800.27224</v>
      </c>
      <c r="E16" s="23" t="n">
        <f aca="false">E12+E15</f>
        <v>1130798.54920168</v>
      </c>
      <c r="F16" s="23" t="n">
        <f aca="false">F12+F15</f>
        <v>1257542.86668488</v>
      </c>
    </row>
    <row r="18" customFormat="false" ht="15" hidden="false" customHeight="true" outlineLevel="0" collapsed="false">
      <c r="A18" s="10" t="s">
        <v>100</v>
      </c>
      <c r="B18" s="20" t="n">
        <f aca="false">B5*Assumptions!$B$31</f>
        <v>313000</v>
      </c>
      <c r="C18" s="20" t="n">
        <f aca="false">C5*Assumptions!$B$31</f>
        <v>323955</v>
      </c>
      <c r="D18" s="20" t="n">
        <f aca="false">D5*Assumptions!$B$31</f>
        <v>335293.425</v>
      </c>
      <c r="E18" s="20" t="n">
        <f aca="false">E5*Assumptions!$B$31</f>
        <v>347028.694875</v>
      </c>
      <c r="F18" s="20" t="n">
        <f aca="false">F5*Assumptions!$B$31</f>
        <v>359174.699195625</v>
      </c>
    </row>
    <row r="19" customFormat="false" ht="15" hidden="false" customHeight="true" outlineLevel="0" collapsed="false">
      <c r="A19" s="10" t="s">
        <v>101</v>
      </c>
      <c r="B19" s="20" t="n">
        <f aca="false">B12-B18</f>
        <v>66260</v>
      </c>
      <c r="C19" s="20" t="n">
        <f aca="false">C12-C18</f>
        <v>179851.32</v>
      </c>
      <c r="D19" s="20" t="n">
        <f aca="false">D12-D18</f>
        <v>306506.84724</v>
      </c>
      <c r="E19" s="20" t="n">
        <f aca="false">E12-E18</f>
        <v>446769.854326681</v>
      </c>
      <c r="F19" s="20" t="n">
        <f aca="false">F12-F18</f>
        <v>603368.16748926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7" min="2" style="1" width="13"/>
  </cols>
  <sheetData>
    <row r="1" customFormat="false" ht="15.75" hidden="false" customHeight="true" outlineLevel="0" collapsed="false">
      <c r="A1" s="6" t="s">
        <v>102</v>
      </c>
    </row>
    <row r="2" customFormat="false" ht="25.5" hidden="false" customHeight="true" outlineLevel="0" collapsed="false">
      <c r="A2" s="25" t="s">
        <v>103</v>
      </c>
    </row>
    <row r="4" customFormat="false" ht="15" hidden="false" customHeight="true" outlineLevel="0" collapsed="false">
      <c r="A4" s="12" t="s">
        <v>104</v>
      </c>
      <c r="B4" s="26" t="n">
        <v>0.025</v>
      </c>
      <c r="C4" s="26" t="n">
        <v>0.03</v>
      </c>
      <c r="D4" s="26" t="n">
        <v>0.035</v>
      </c>
      <c r="E4" s="26" t="n">
        <v>0.04</v>
      </c>
      <c r="F4" s="26" t="n">
        <v>0.05</v>
      </c>
    </row>
    <row r="5" customFormat="false" ht="15" hidden="false" customHeight="true" outlineLevel="0" collapsed="false">
      <c r="A5" s="14" t="n">
        <v>0.02</v>
      </c>
      <c r="B5" s="20" t="n">
        <f aca="false">Assumptions!$B$44+Assumptions!$B$45+Assumptions!$B$23*Assumptions!$B$22*((1-(1+$A5)^5)/(-$A5))+SUM(Revenue!B9:F9)+SUM(Revenue!B11:F11)+SUM(Revenue!B12:F12)+5*(Assumptions!$B$44+Assumptions!$B$45)*Assumptions!$B$30-Assumptions!$B$34*((1-(1+Assumptions!$B$18)^5)/(-Assumptions!$B$18))-SUM(Assumptions!$B$35:$B$41)*((1-(1+B$4)^5)/(-B$4))-SUM('Capital Plan'!B11:F11)+SUM('Capital Plan'!B13:F13)-SUM('Capital Plan'!B13:F13)</f>
        <v>1103681.72031876</v>
      </c>
      <c r="C5" s="20" t="n">
        <f aca="false">Assumptions!$B$44+Assumptions!$B$45+Assumptions!$B$23*Assumptions!$B$22*((1-(1+$A5)^5)/(-$A5))+SUM(Revenue!B9:F9)+SUM(Revenue!B11:F11)+SUM(Revenue!B12:F12)+5*(Assumptions!$B$44+Assumptions!$B$45)*Assumptions!$B$30-Assumptions!$B$34*((1-(1+Assumptions!$B$18)^5)/(-Assumptions!$B$18))-SUM(Assumptions!$B$35:$B$41)*((1-(1+C$4)^5)/(-C$4))-SUM('Capital Plan'!B11:F11)+SUM('Capital Plan'!B13:F13)-SUM('Capital Plan'!B13:F13)</f>
        <v>1086202.50588063</v>
      </c>
      <c r="D5" s="20" t="n">
        <f aca="false">Assumptions!$B$44+Assumptions!$B$45+Assumptions!$B$23*Assumptions!$B$22*((1-(1+$A5)^5)/(-$A5))+SUM(Revenue!B9:F9)+SUM(Revenue!B11:F11)+SUM(Revenue!B12:F12)+5*(Assumptions!$B$44+Assumptions!$B$45)*Assumptions!$B$30-Assumptions!$B$34*((1-(1+Assumptions!$B$18)^5)/(-Assumptions!$B$18))-SUM(Assumptions!$B$35:$B$41)*((1-(1+D$4)^5)/(-D$4))-SUM('Capital Plan'!B11:F11)+SUM('Capital Plan'!B13:F13)-SUM('Capital Plan'!B13:F13)</f>
        <v>1068550.25415876</v>
      </c>
      <c r="E5" s="20" t="n">
        <f aca="false">Assumptions!$B$44+Assumptions!$B$45+Assumptions!$B$23*Assumptions!$B$22*((1-(1+$A5)^5)/(-$A5))+SUM(Revenue!B9:F9)+SUM(Revenue!B11:F11)+SUM(Revenue!B12:F12)+5*(Assumptions!$B$44+Assumptions!$B$45)*Assumptions!$B$30-Assumptions!$B$34*((1-(1+Assumptions!$B$18)^5)/(-Assumptions!$B$18))-SUM(Assumptions!$B$35:$B$41)*((1-(1+E$4)^5)/(-E$4))-SUM('Capital Plan'!B11:F11)+SUM('Capital Plan'!B13:F13)-SUM('Capital Plan'!B13:F13)</f>
        <v>1050723.69163063</v>
      </c>
      <c r="F5" s="20" t="n">
        <f aca="false">Assumptions!$B$44+Assumptions!$B$45+Assumptions!$B$23*Assumptions!$B$22*((1-(1+$A5)^5)/(-$A5))+SUM(Revenue!B9:F9)+SUM(Revenue!B11:F11)+SUM(Revenue!B12:F12)+5*(Assumptions!$B$44+Assumptions!$B$45)*Assumptions!$B$30-Assumptions!$B$34*((1-(1+Assumptions!$B$18)^5)/(-Assumptions!$B$18))-SUM(Assumptions!$B$35:$B$41)*((1-(1+F$4)^5)/(-F$4))-SUM('Capital Plan'!B11:F11)+SUM('Capital Plan'!B13:F13)-SUM('Capital Plan'!B13:F13)</f>
        <v>1014542.51524063</v>
      </c>
    </row>
    <row r="6" customFormat="false" ht="15" hidden="false" customHeight="true" outlineLevel="0" collapsed="false">
      <c r="A6" s="14" t="n">
        <v>0.03</v>
      </c>
      <c r="B6" s="20" t="n">
        <f aca="false">Assumptions!$B$44+Assumptions!$B$45+Assumptions!$B$23*Assumptions!$B$22*((1-(1+$A6)^5)/(-$A6))+SUM(Revenue!B9:F9)+SUM(Revenue!B11:F11)+SUM(Revenue!B12:F12)+5*(Assumptions!$B$44+Assumptions!$B$45)*Assumptions!$B$30-Assumptions!$B$34*((1-(1+Assumptions!$B$18)^5)/(-Assumptions!$B$18))-SUM(Assumptions!$B$35:$B$41)*((1-(1+B$4)^5)/(-B$4))-SUM('Capital Plan'!B11:F11)+SUM('Capital Plan'!B13:F13)-SUM('Capital Plan'!B13:F13)</f>
        <v>1179350.58831876</v>
      </c>
      <c r="C6" s="20" t="n">
        <f aca="false">Assumptions!$B$44+Assumptions!$B$45+Assumptions!$B$23*Assumptions!$B$22*((1-(1+$A6)^5)/(-$A6))+SUM(Revenue!B9:F9)+SUM(Revenue!B11:F11)+SUM(Revenue!B12:F12)+5*(Assumptions!$B$44+Assumptions!$B$45)*Assumptions!$B$30-Assumptions!$B$34*((1-(1+Assumptions!$B$18)^5)/(-Assumptions!$B$18))-SUM(Assumptions!$B$35:$B$41)*((1-(1+C$4)^5)/(-C$4))-SUM('Capital Plan'!B11:F11)+SUM('Capital Plan'!B13:F13)-SUM('Capital Plan'!B13:F13)</f>
        <v>1161871.37388063</v>
      </c>
      <c r="D6" s="20" t="n">
        <f aca="false">Assumptions!$B$44+Assumptions!$B$45+Assumptions!$B$23*Assumptions!$B$22*((1-(1+$A6)^5)/(-$A6))+SUM(Revenue!B9:F9)+SUM(Revenue!B11:F11)+SUM(Revenue!B12:F12)+5*(Assumptions!$B$44+Assumptions!$B$45)*Assumptions!$B$30-Assumptions!$B$34*((1-(1+Assumptions!$B$18)^5)/(-Assumptions!$B$18))-SUM(Assumptions!$B$35:$B$41)*((1-(1+D$4)^5)/(-D$4))-SUM('Capital Plan'!B11:F11)+SUM('Capital Plan'!B13:F13)-SUM('Capital Plan'!B13:F13)</f>
        <v>1144219.12215876</v>
      </c>
      <c r="E6" s="20" t="n">
        <f aca="false">Assumptions!$B$44+Assumptions!$B$45+Assumptions!$B$23*Assumptions!$B$22*((1-(1+$A6)^5)/(-$A6))+SUM(Revenue!B9:F9)+SUM(Revenue!B11:F11)+SUM(Revenue!B12:F12)+5*(Assumptions!$B$44+Assumptions!$B$45)*Assumptions!$B$30-Assumptions!$B$34*((1-(1+Assumptions!$B$18)^5)/(-Assumptions!$B$18))-SUM(Assumptions!$B$35:$B$41)*((1-(1+E$4)^5)/(-E$4))-SUM('Capital Plan'!B11:F11)+SUM('Capital Plan'!B13:F13)-SUM('Capital Plan'!B13:F13)</f>
        <v>1126392.55963063</v>
      </c>
      <c r="F6" s="20" t="n">
        <f aca="false">Assumptions!$B$44+Assumptions!$B$45+Assumptions!$B$23*Assumptions!$B$22*((1-(1+$A6)^5)/(-$A6))+SUM(Revenue!B9:F9)+SUM(Revenue!B11:F11)+SUM(Revenue!B12:F12)+5*(Assumptions!$B$44+Assumptions!$B$45)*Assumptions!$B$30-Assumptions!$B$34*((1-(1+Assumptions!$B$18)^5)/(-Assumptions!$B$18))-SUM(Assumptions!$B$35:$B$41)*((1-(1+F$4)^5)/(-F$4))-SUM('Capital Plan'!B11:F11)+SUM('Capital Plan'!B13:F13)-SUM('Capital Plan'!B13:F13)</f>
        <v>1090211.38324063</v>
      </c>
    </row>
    <row r="7" customFormat="false" ht="15" hidden="false" customHeight="true" outlineLevel="0" collapsed="false">
      <c r="A7" s="14" t="n">
        <v>0.04</v>
      </c>
      <c r="B7" s="20" t="n">
        <f aca="false">Assumptions!$B$44+Assumptions!$B$45+Assumptions!$B$23*Assumptions!$B$22*((1-(1+$A7)^5)/(-$A7))+SUM(Revenue!B9:F9)+SUM(Revenue!B11:F11)+SUM(Revenue!B12:F12)+5*(Assumptions!$B$44+Assumptions!$B$45)*Assumptions!$B$30-Assumptions!$B$34*((1-(1+Assumptions!$B$18)^5)/(-Assumptions!$B$18))-SUM(Assumptions!$B$35:$B$41)*((1-(1+B$4)^5)/(-B$4))-SUM('Capital Plan'!B11:F11)+SUM('Capital Plan'!B13:F13)-SUM('Capital Plan'!B13:F13)</f>
        <v>1256525.04831876</v>
      </c>
      <c r="C7" s="20" t="n">
        <f aca="false">Assumptions!$B$44+Assumptions!$B$45+Assumptions!$B$23*Assumptions!$B$22*((1-(1+$A7)^5)/(-$A7))+SUM(Revenue!B9:F9)+SUM(Revenue!B11:F11)+SUM(Revenue!B12:F12)+5*(Assumptions!$B$44+Assumptions!$B$45)*Assumptions!$B$30-Assumptions!$B$34*((1-(1+Assumptions!$B$18)^5)/(-Assumptions!$B$18))-SUM(Assumptions!$B$35:$B$41)*((1-(1+C$4)^5)/(-C$4))-SUM('Capital Plan'!B11:F11)+SUM('Capital Plan'!B13:F13)-SUM('Capital Plan'!B13:F13)</f>
        <v>1239045.83388063</v>
      </c>
      <c r="D7" s="20" t="n">
        <f aca="false">Assumptions!$B$44+Assumptions!$B$45+Assumptions!$B$23*Assumptions!$B$22*((1-(1+$A7)^5)/(-$A7))+SUM(Revenue!B9:F9)+SUM(Revenue!B11:F11)+SUM(Revenue!B12:F12)+5*(Assumptions!$B$44+Assumptions!$B$45)*Assumptions!$B$30-Assumptions!$B$34*((1-(1+Assumptions!$B$18)^5)/(-Assumptions!$B$18))-SUM(Assumptions!$B$35:$B$41)*((1-(1+D$4)^5)/(-D$4))-SUM('Capital Plan'!B11:F11)+SUM('Capital Plan'!B13:F13)-SUM('Capital Plan'!B13:F13)</f>
        <v>1221393.58215876</v>
      </c>
      <c r="E7" s="20" t="n">
        <f aca="false">Assumptions!$B$44+Assumptions!$B$45+Assumptions!$B$23*Assumptions!$B$22*((1-(1+$A7)^5)/(-$A7))+SUM(Revenue!B9:F9)+SUM(Revenue!B11:F11)+SUM(Revenue!B12:F12)+5*(Assumptions!$B$44+Assumptions!$B$45)*Assumptions!$B$30-Assumptions!$B$34*((1-(1+Assumptions!$B$18)^5)/(-Assumptions!$B$18))-SUM(Assumptions!$B$35:$B$41)*((1-(1+E$4)^5)/(-E$4))-SUM('Capital Plan'!B11:F11)+SUM('Capital Plan'!B13:F13)-SUM('Capital Plan'!B13:F13)</f>
        <v>1203567.01963063</v>
      </c>
      <c r="F7" s="20" t="n">
        <f aca="false">Assumptions!$B$44+Assumptions!$B$45+Assumptions!$B$23*Assumptions!$B$22*((1-(1+$A7)^5)/(-$A7))+SUM(Revenue!B9:F9)+SUM(Revenue!B11:F11)+SUM(Revenue!B12:F12)+5*(Assumptions!$B$44+Assumptions!$B$45)*Assumptions!$B$30-Assumptions!$B$34*((1-(1+Assumptions!$B$18)^5)/(-Assumptions!$B$18))-SUM(Assumptions!$B$35:$B$41)*((1-(1+F$4)^5)/(-F$4))-SUM('Capital Plan'!B11:F11)+SUM('Capital Plan'!B13:F13)-SUM('Capital Plan'!B13:F13)</f>
        <v>1167385.84324063</v>
      </c>
    </row>
    <row r="8" customFormat="false" ht="15" hidden="false" customHeight="true" outlineLevel="0" collapsed="false">
      <c r="A8" s="14" t="n">
        <v>0.05</v>
      </c>
      <c r="B8" s="20" t="n">
        <f aca="false">Assumptions!$B$44+Assumptions!$B$45+Assumptions!$B$23*Assumptions!$B$22*((1-(1+$A8)^5)/(-$A8))+SUM(Revenue!B9:F9)+SUM(Revenue!B11:F11)+SUM(Revenue!B12:F12)+5*(Assumptions!$B$44+Assumptions!$B$45)*Assumptions!$B$30-Assumptions!$B$34*((1-(1+Assumptions!$B$18)^5)/(-Assumptions!$B$18))-SUM(Assumptions!$B$35:$B$41)*((1-(1+B$4)^5)/(-B$4))-SUM('Capital Plan'!B11:F11)+SUM('Capital Plan'!B13:F13)-SUM('Capital Plan'!B13:F13)</f>
        <v>1335227.30511877</v>
      </c>
      <c r="C8" s="20" t="n">
        <f aca="false">Assumptions!$B$44+Assumptions!$B$45+Assumptions!$B$23*Assumptions!$B$22*((1-(1+$A8)^5)/(-$A8))+SUM(Revenue!B9:F9)+SUM(Revenue!B11:F11)+SUM(Revenue!B12:F12)+5*(Assumptions!$B$44+Assumptions!$B$45)*Assumptions!$B$30-Assumptions!$B$34*((1-(1+Assumptions!$B$18)^5)/(-Assumptions!$B$18))-SUM(Assumptions!$B$35:$B$41)*((1-(1+C$4)^5)/(-C$4))-SUM('Capital Plan'!B11:F11)+SUM('Capital Plan'!B13:F13)-SUM('Capital Plan'!B13:F13)</f>
        <v>1317748.09068063</v>
      </c>
      <c r="D8" s="20" t="n">
        <f aca="false">Assumptions!$B$44+Assumptions!$B$45+Assumptions!$B$23*Assumptions!$B$22*((1-(1+$A8)^5)/(-$A8))+SUM(Revenue!B9:F9)+SUM(Revenue!B11:F11)+SUM(Revenue!B12:F12)+5*(Assumptions!$B$44+Assumptions!$B$45)*Assumptions!$B$30-Assumptions!$B$34*((1-(1+Assumptions!$B$18)^5)/(-Assumptions!$B$18))-SUM(Assumptions!$B$35:$B$41)*((1-(1+D$4)^5)/(-D$4))-SUM('Capital Plan'!B11:F11)+SUM('Capital Plan'!B13:F13)-SUM('Capital Plan'!B13:F13)</f>
        <v>1300095.83895876</v>
      </c>
      <c r="E8" s="20" t="n">
        <f aca="false">Assumptions!$B$44+Assumptions!$B$45+Assumptions!$B$23*Assumptions!$B$22*((1-(1+$A8)^5)/(-$A8))+SUM(Revenue!B9:F9)+SUM(Revenue!B11:F11)+SUM(Revenue!B12:F12)+5*(Assumptions!$B$44+Assumptions!$B$45)*Assumptions!$B$30-Assumptions!$B$34*((1-(1+Assumptions!$B$18)^5)/(-Assumptions!$B$18))-SUM(Assumptions!$B$35:$B$41)*((1-(1+E$4)^5)/(-E$4))-SUM('Capital Plan'!B11:F11)+SUM('Capital Plan'!B13:F13)-SUM('Capital Plan'!B13:F13)</f>
        <v>1282269.27643063</v>
      </c>
      <c r="F8" s="20" t="n">
        <f aca="false">Assumptions!$B$44+Assumptions!$B$45+Assumptions!$B$23*Assumptions!$B$22*((1-(1+$A8)^5)/(-$A8))+SUM(Revenue!B9:F9)+SUM(Revenue!B11:F11)+SUM(Revenue!B12:F12)+5*(Assumptions!$B$44+Assumptions!$B$45)*Assumptions!$B$30-Assumptions!$B$34*((1-(1+Assumptions!$B$18)^5)/(-Assumptions!$B$18))-SUM(Assumptions!$B$35:$B$41)*((1-(1+F$4)^5)/(-F$4))-SUM('Capital Plan'!B11:F11)+SUM('Capital Plan'!B13:F13)-SUM('Capital Plan'!B13:F13)</f>
        <v>1246088.10004063</v>
      </c>
    </row>
    <row r="9" customFormat="false" ht="15" hidden="false" customHeight="true" outlineLevel="0" collapsed="false">
      <c r="A9" s="14" t="n">
        <v>0.06</v>
      </c>
      <c r="B9" s="20" t="n">
        <f aca="false">Assumptions!$B$44+Assumptions!$B$45+Assumptions!$B$23*Assumptions!$B$22*((1-(1+$A9)^5)/(-$A9))+SUM(Revenue!B9:F9)+SUM(Revenue!B11:F11)+SUM(Revenue!B12:F12)+5*(Assumptions!$B$44+Assumptions!$B$45)*Assumptions!$B$30-Assumptions!$B$34*((1-(1+Assumptions!$B$18)^5)/(-Assumptions!$B$18))-SUM(Assumptions!$B$35:$B$41)*((1-(1+B$4)^5)/(-B$4))-SUM('Capital Plan'!B11:F11)+SUM('Capital Plan'!B13:F13)-SUM('Capital Plan'!B13:F13)</f>
        <v>1415479.73631877</v>
      </c>
      <c r="C9" s="20" t="n">
        <f aca="false">Assumptions!$B$44+Assumptions!$B$45+Assumptions!$B$23*Assumptions!$B$22*((1-(1+$A9)^5)/(-$A9))+SUM(Revenue!B9:F9)+SUM(Revenue!B11:F11)+SUM(Revenue!B12:F12)+5*(Assumptions!$B$44+Assumptions!$B$45)*Assumptions!$B$30-Assumptions!$B$34*((1-(1+Assumptions!$B$18)^5)/(-Assumptions!$B$18))-SUM(Assumptions!$B$35:$B$41)*((1-(1+C$4)^5)/(-C$4))-SUM('Capital Plan'!B11:F11)+SUM('Capital Plan'!B13:F13)-SUM('Capital Plan'!B13:F13)</f>
        <v>1398000.52188063</v>
      </c>
      <c r="D9" s="20" t="n">
        <f aca="false">Assumptions!$B$44+Assumptions!$B$45+Assumptions!$B$23*Assumptions!$B$22*((1-(1+$A9)^5)/(-$A9))+SUM(Revenue!B9:F9)+SUM(Revenue!B11:F11)+SUM(Revenue!B12:F12)+5*(Assumptions!$B$44+Assumptions!$B$45)*Assumptions!$B$30-Assumptions!$B$34*((1-(1+Assumptions!$B$18)^5)/(-Assumptions!$B$18))-SUM(Assumptions!$B$35:$B$41)*((1-(1+D$4)^5)/(-D$4))-SUM('Capital Plan'!B11:F11)+SUM('Capital Plan'!B13:F13)-SUM('Capital Plan'!B13:F13)</f>
        <v>1380348.27015876</v>
      </c>
      <c r="E9" s="20" t="n">
        <f aca="false">Assumptions!$B$44+Assumptions!$B$45+Assumptions!$B$23*Assumptions!$B$22*((1-(1+$A9)^5)/(-$A9))+SUM(Revenue!B9:F9)+SUM(Revenue!B11:F11)+SUM(Revenue!B12:F12)+5*(Assumptions!$B$44+Assumptions!$B$45)*Assumptions!$B$30-Assumptions!$B$34*((1-(1+Assumptions!$B$18)^5)/(-Assumptions!$B$18))-SUM(Assumptions!$B$35:$B$41)*((1-(1+E$4)^5)/(-E$4))-SUM('Capital Plan'!B11:F11)+SUM('Capital Plan'!B13:F13)-SUM('Capital Plan'!B13:F13)</f>
        <v>1362521.70763063</v>
      </c>
      <c r="F9" s="20" t="n">
        <f aca="false">Assumptions!$B$44+Assumptions!$B$45+Assumptions!$B$23*Assumptions!$B$22*((1-(1+$A9)^5)/(-$A9))+SUM(Revenue!B9:F9)+SUM(Revenue!B11:F11)+SUM(Revenue!B12:F12)+5*(Assumptions!$B$44+Assumptions!$B$45)*Assumptions!$B$30-Assumptions!$B$34*((1-(1+Assumptions!$B$18)^5)/(-Assumptions!$B$18))-SUM(Assumptions!$B$35:$B$41)*((1-(1+F$4)^5)/(-F$4))-SUM('Capital Plan'!B11:F11)+SUM('Capital Plan'!B13:F13)-SUM('Capital Plan'!B13:F13)</f>
        <v>1326340.53124063</v>
      </c>
    </row>
    <row r="11" customFormat="false" ht="15" hidden="false" customHeight="true" outlineLevel="0" collapsed="false">
      <c r="A11" s="9" t="s">
        <v>105</v>
      </c>
    </row>
    <row r="12" customFormat="false" ht="25.5" hidden="false" customHeight="true" outlineLevel="0" collapsed="false">
      <c r="A12" s="25" t="s">
        <v>106</v>
      </c>
    </row>
    <row r="14" customFormat="false" ht="15" hidden="false" customHeight="true" outlineLevel="0" collapsed="false">
      <c r="A14" s="7" t="s">
        <v>107</v>
      </c>
      <c r="B14" s="19" t="n">
        <f aca="false">'Financial Summary'!F16</f>
        <v>1257542.86668488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2026-07-22T22:15:56Z</dcterms:created>
  <dc:creator>openpyxl</dc:creator>
  <dc:description/>
  <dc:language>en-US</dc:language>
  <cp:lastModifiedBy/>
  <dcterms:modified xsi:type="dcterms:W3CDTF">2026-07-22T22:16:29Z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